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町の財政状況" sheetId="1" r:id="rId1"/>
  </sheets>
  <definedNames>
    <definedName name="_xlnm.Print_Area" localSheetId="0">'町の財政状況'!$B$2:$V$51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Q38" authorId="0">
      <text>
        <r>
          <rPr>
            <b/>
            <sz val="9"/>
            <rFont val="ＭＳ Ｐゴシック"/>
            <family val="3"/>
          </rPr>
          <t xml:space="preserve"> 19表
</t>
        </r>
      </text>
    </comment>
    <comment ref="Q42" authorId="0">
      <text>
        <r>
          <rPr>
            <b/>
            <sz val="9"/>
            <rFont val="ＭＳ Ｐゴシック"/>
            <family val="3"/>
          </rPr>
          <t xml:space="preserve"> 21表</t>
        </r>
      </text>
    </comment>
    <comment ref="Q43" authorId="0">
      <text>
        <r>
          <rPr>
            <b/>
            <sz val="9"/>
            <rFont val="ＭＳ Ｐゴシック"/>
            <family val="3"/>
          </rPr>
          <t xml:space="preserve">22表
</t>
        </r>
      </text>
    </comment>
    <comment ref="Q44" authorId="0">
      <text>
        <r>
          <rPr>
            <b/>
            <sz val="9"/>
            <rFont val="ＭＳ Ｐゴシック"/>
            <family val="3"/>
          </rPr>
          <t xml:space="preserve"> 23表</t>
        </r>
      </text>
    </comment>
    <comment ref="Q40" authorId="0">
      <text>
        <r>
          <rPr>
            <b/>
            <sz val="9"/>
            <rFont val="ＭＳ Ｐゴシック"/>
            <family val="3"/>
          </rPr>
          <t xml:space="preserve"> 15表
</t>
        </r>
      </text>
    </comment>
  </commentList>
</comments>
</file>

<file path=xl/sharedStrings.xml><?xml version="1.0" encoding="utf-8"?>
<sst xmlns="http://schemas.openxmlformats.org/spreadsheetml/2006/main" count="418" uniqueCount="158">
  <si>
    <t xml:space="preserve"> (減税補てん債、臨時財政対策債を除く）</t>
  </si>
  <si>
    <t>％</t>
  </si>
  <si>
    <t>％</t>
  </si>
  <si>
    <t>(A)</t>
  </si>
  <si>
    <t>％</t>
  </si>
  <si>
    <t>％</t>
  </si>
  <si>
    <t>(B)</t>
  </si>
  <si>
    <t>(C)</t>
  </si>
  <si>
    <t>(D)</t>
  </si>
  <si>
    <t>(E)</t>
  </si>
  <si>
    <t>(F)</t>
  </si>
  <si>
    <t>(G)</t>
  </si>
  <si>
    <t>(H)</t>
  </si>
  <si>
    <t>（I）</t>
  </si>
  <si>
    <t>(J)</t>
  </si>
  <si>
    <t>％</t>
  </si>
  <si>
    <t>％</t>
  </si>
  <si>
    <t>％</t>
  </si>
  <si>
    <t>配当割交付金</t>
  </si>
  <si>
    <t>株式等譲渡所得割交付金</t>
  </si>
  <si>
    <t>経常一般財源等収入／標準財政規模</t>
  </si>
  <si>
    <t>９．健全化判断比率の状況</t>
  </si>
  <si>
    <t>実質赤字比率</t>
  </si>
  <si>
    <t>連結実質赤字比率</t>
  </si>
  <si>
    <t>将来負担比率</t>
  </si>
  <si>
    <t>健全化判断比率</t>
  </si>
  <si>
    <t>早期健全化基準</t>
  </si>
  <si>
    <t>財政再生基準</t>
  </si>
  <si>
    <t>区　　　　　分</t>
  </si>
  <si>
    <t>１．決算収支の状況</t>
  </si>
  <si>
    <t>５．歳入決算額状況</t>
  </si>
  <si>
    <t>７．歳出決算額の状況（目的別）</t>
  </si>
  <si>
    <t>区         分</t>
  </si>
  <si>
    <t>決  算  額</t>
  </si>
  <si>
    <t>区            分</t>
  </si>
  <si>
    <t>構 成 比</t>
  </si>
  <si>
    <t>人口一人あたりの額</t>
  </si>
  <si>
    <t>歳入総額</t>
  </si>
  <si>
    <t>千円</t>
  </si>
  <si>
    <t>地方税</t>
  </si>
  <si>
    <t>円</t>
  </si>
  <si>
    <t>議    会    費</t>
  </si>
  <si>
    <t>歳出総額</t>
  </si>
  <si>
    <t>地方譲与税</t>
  </si>
  <si>
    <t>総    務    費</t>
  </si>
  <si>
    <t>歳入歳出差引額    A-B</t>
  </si>
  <si>
    <t>利子割交付金</t>
  </si>
  <si>
    <t>民    生    費</t>
  </si>
  <si>
    <t>翌年度へ繰り越す財源</t>
  </si>
  <si>
    <t>衛    生    費</t>
  </si>
  <si>
    <t>実質収支          C-D</t>
  </si>
  <si>
    <t>労    働    費</t>
  </si>
  <si>
    <t>単年度収支</t>
  </si>
  <si>
    <t>地方消費税交付金</t>
  </si>
  <si>
    <t>農林水産業費</t>
  </si>
  <si>
    <t>積立金</t>
  </si>
  <si>
    <t>自動車取得税交付金</t>
  </si>
  <si>
    <t>商    工    費</t>
  </si>
  <si>
    <t>地方債繰上償還金</t>
  </si>
  <si>
    <t>地方特例交付金</t>
  </si>
  <si>
    <t>土    木    費</t>
  </si>
  <si>
    <t>積立金取崩し額</t>
  </si>
  <si>
    <t>地方交付税</t>
  </si>
  <si>
    <t>消    防    費</t>
  </si>
  <si>
    <t>実質単年度収支 F+G+H-I</t>
  </si>
  <si>
    <t xml:space="preserve">      普通交付税</t>
  </si>
  <si>
    <t>教    育    費</t>
  </si>
  <si>
    <t>実質収支比率</t>
  </si>
  <si>
    <t xml:space="preserve">      特別交付税</t>
  </si>
  <si>
    <t>災 害 復 旧 費</t>
  </si>
  <si>
    <t>交通安全対策特別交付金</t>
  </si>
  <si>
    <t>公    債    費</t>
  </si>
  <si>
    <t>分担金及び負担金</t>
  </si>
  <si>
    <t>諸  支  出  金</t>
  </si>
  <si>
    <t>２．主要財政指数</t>
  </si>
  <si>
    <t>使用料</t>
  </si>
  <si>
    <t>前年度繰上充用金</t>
  </si>
  <si>
    <t>手数料</t>
  </si>
  <si>
    <t>歳  出  合  計</t>
  </si>
  <si>
    <t>標準財政規模</t>
  </si>
  <si>
    <t>国庫支出金</t>
  </si>
  <si>
    <t>歳出決算倍率</t>
  </si>
  <si>
    <t>倍</t>
  </si>
  <si>
    <t>都道府県支出金</t>
  </si>
  <si>
    <t>経常収支比率</t>
  </si>
  <si>
    <t>財産収入</t>
  </si>
  <si>
    <t>８．歳出決算額の状況（性質別）</t>
  </si>
  <si>
    <t>寄附金</t>
  </si>
  <si>
    <t>繰入金</t>
  </si>
  <si>
    <t>地方債現在高</t>
  </si>
  <si>
    <t>繰越金</t>
  </si>
  <si>
    <t>義務的経費</t>
  </si>
  <si>
    <t>地方債現在高倍率</t>
  </si>
  <si>
    <t>諸収入</t>
  </si>
  <si>
    <t>人件費</t>
  </si>
  <si>
    <t>公債費比率</t>
  </si>
  <si>
    <t>地方債</t>
  </si>
  <si>
    <t xml:space="preserve">    うち職員給</t>
  </si>
  <si>
    <t xml:space="preserve">    (債務負担行為含む）</t>
  </si>
  <si>
    <t>歳  入  合  計</t>
  </si>
  <si>
    <t>扶助費</t>
  </si>
  <si>
    <t>起債許可制限比率</t>
  </si>
  <si>
    <t>公債費</t>
  </si>
  <si>
    <t>公債費負担比率</t>
  </si>
  <si>
    <t>６．歳入構造の状況</t>
  </si>
  <si>
    <t xml:space="preserve">    元利償還金</t>
  </si>
  <si>
    <t>税徴収率（現年分）</t>
  </si>
  <si>
    <t>一般行政経費</t>
  </si>
  <si>
    <t>自 主 財 源</t>
  </si>
  <si>
    <t>物件費</t>
  </si>
  <si>
    <t>３．積立金の状況</t>
  </si>
  <si>
    <t>依 存 財 源</t>
  </si>
  <si>
    <t>維持補修費</t>
  </si>
  <si>
    <t>一 般 財 源</t>
  </si>
  <si>
    <t>補助費等</t>
  </si>
  <si>
    <t>区        分</t>
  </si>
  <si>
    <t>特 定 財 源</t>
  </si>
  <si>
    <t xml:space="preserve">    うち一部事務組合負担金</t>
  </si>
  <si>
    <t>財政調整基金</t>
  </si>
  <si>
    <t>経常的財源</t>
  </si>
  <si>
    <t>投資的経費</t>
  </si>
  <si>
    <t>減債基金</t>
  </si>
  <si>
    <t>臨時的財源</t>
  </si>
  <si>
    <t xml:space="preserve">    （うち人件費）</t>
  </si>
  <si>
    <t>その他特定目的基金</t>
  </si>
  <si>
    <t>経常一般財源比率</t>
  </si>
  <si>
    <t>普通建設事業</t>
  </si>
  <si>
    <t>土地開発基金</t>
  </si>
  <si>
    <t xml:space="preserve">    補助事業費</t>
  </si>
  <si>
    <t xml:space="preserve">    単独事業費</t>
  </si>
  <si>
    <t>４．債務負担行為額の状況</t>
  </si>
  <si>
    <t xml:space="preserve">    その他</t>
  </si>
  <si>
    <t>災害復旧事業</t>
  </si>
  <si>
    <t>区                   分</t>
  </si>
  <si>
    <t>失業対策事業</t>
  </si>
  <si>
    <t>物件の購入等に係るもの</t>
  </si>
  <si>
    <t>繰出金</t>
  </si>
  <si>
    <t>債務保証又は損失補償に係るもの</t>
  </si>
  <si>
    <t>その他</t>
  </si>
  <si>
    <t>積立金</t>
  </si>
  <si>
    <t>合                  計</t>
  </si>
  <si>
    <t>投資・出資・貸付金</t>
  </si>
  <si>
    <t>合               計</t>
  </si>
  <si>
    <t>大木町の財政状況</t>
  </si>
  <si>
    <t>人</t>
  </si>
  <si>
    <t>―</t>
  </si>
  <si>
    <t>％</t>
  </si>
  <si>
    <t>％</t>
  </si>
  <si>
    <t>実質公債費比率</t>
  </si>
  <si>
    <t xml:space="preserve">      震災復興特別交付税</t>
  </si>
  <si>
    <t xml:space="preserve">    一時借入金利子</t>
  </si>
  <si>
    <t>-</t>
  </si>
  <si>
    <t>平成29年度</t>
  </si>
  <si>
    <t>平成29年度末現在高</t>
  </si>
  <si>
    <t>平成29年度以降支出予定額</t>
  </si>
  <si>
    <t>平成30年１月１日人口</t>
  </si>
  <si>
    <t>財政力指数（27～29年度）</t>
  </si>
  <si>
    <t>実質公債費比率（27～29年度）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</si>
</sst>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000000000"/>
    <numFmt numFmtId="179" formatCode="0.0%"/>
    <numFmt numFmtId="180" formatCode="0.0;&quot;△ &quot;0.0"/>
    <numFmt numFmtId="181" formatCode="_ &quot;¥&quot;* #,##0.0_ ;_ &quot;¥&quot;* \-#,##0.0_ ;_ &quot;¥&quot;* &quot;-&quot;?_ ;_ @_ "/>
    <numFmt numFmtId="182" formatCode="#,##0.0_ "/>
    <numFmt numFmtId="183" formatCode="0.0_ "/>
    <numFmt numFmtId="184" formatCode="0;&quot;△ &quot;0"/>
    <numFmt numFmtId="185" formatCode="#,##0_);[Red]\(#,##0\)"/>
    <numFmt numFmtId="186" formatCode="#,##0;&quot;△ &quot;#,##0"/>
    <numFmt numFmtId="187" formatCode="#,##0_ ;[Red]\-#,##0\ "/>
    <numFmt numFmtId="188" formatCode="#,##0.0;[Red]\-#,##0.0"/>
    <numFmt numFmtId="189" formatCode="#,##0.0;&quot;△ &quot;#,##0.0"/>
    <numFmt numFmtId="190" formatCode="#,##0.00000_ ;[Red]\-#,##0.00000\ "/>
    <numFmt numFmtId="191" formatCode="#,##0.0_ ;[Red]\-#,##0.0\ "/>
    <numFmt numFmtId="192" formatCode="0_ "/>
    <numFmt numFmtId="193" formatCode="0.0_);[Red]\(0.0\)"/>
    <numFmt numFmtId="194" formatCode="#,##0.00_ ;[Red]\-#,##0.00\ "/>
    <numFmt numFmtId="195" formatCode="0.00_ "/>
    <numFmt numFmtId="196" formatCode="0.000_ 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93" fontId="0" fillId="0" borderId="16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8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8" fontId="0" fillId="0" borderId="21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8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38" fontId="0" fillId="0" borderId="3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42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2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8" fontId="0" fillId="0" borderId="42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53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38" fontId="0" fillId="0" borderId="5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38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195" fontId="0" fillId="0" borderId="6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95" fontId="0" fillId="0" borderId="21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3" fontId="0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42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horizontal="right" vertical="center"/>
    </xf>
    <xf numFmtId="182" fontId="0" fillId="0" borderId="72" xfId="0" applyNumberFormat="1" applyFont="1" applyFill="1" applyBorder="1" applyAlignment="1">
      <alignment vertical="center"/>
    </xf>
    <xf numFmtId="38" fontId="0" fillId="0" borderId="66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4" xfId="0" applyNumberFormat="1" applyFont="1" applyBorder="1" applyAlignment="1">
      <alignment vertical="center"/>
    </xf>
    <xf numFmtId="38" fontId="0" fillId="0" borderId="72" xfId="0" applyNumberFormat="1" applyFont="1" applyBorder="1" applyAlignment="1">
      <alignment vertical="center"/>
    </xf>
    <xf numFmtId="38" fontId="0" fillId="33" borderId="75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96" fontId="0" fillId="0" borderId="21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80" xfId="0" applyBorder="1" applyAlignment="1">
      <alignment horizontal="left" vertical="center"/>
    </xf>
    <xf numFmtId="38" fontId="0" fillId="0" borderId="60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38" fontId="0" fillId="0" borderId="16" xfId="49" applyNumberFormat="1" applyFont="1" applyBorder="1" applyAlignment="1">
      <alignment vertical="center"/>
    </xf>
    <xf numFmtId="38" fontId="0" fillId="0" borderId="16" xfId="49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83" fontId="0" fillId="0" borderId="26" xfId="0" applyNumberFormat="1" applyFill="1" applyBorder="1" applyAlignment="1">
      <alignment horizontal="right" vertical="center"/>
    </xf>
    <xf numFmtId="183" fontId="0" fillId="0" borderId="16" xfId="0" applyNumberFormat="1" applyFill="1" applyBorder="1" applyAlignment="1">
      <alignment horizontal="right" vertical="center"/>
    </xf>
    <xf numFmtId="183" fontId="0" fillId="0" borderId="21" xfId="0" applyNumberForma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193" fontId="0" fillId="0" borderId="26" xfId="0" applyNumberFormat="1" applyFont="1" applyBorder="1" applyAlignment="1">
      <alignment vertical="center"/>
    </xf>
    <xf numFmtId="193" fontId="0" fillId="0" borderId="30" xfId="0" applyNumberFormat="1" applyFont="1" applyBorder="1" applyAlignment="1">
      <alignment vertical="center"/>
    </xf>
    <xf numFmtId="193" fontId="0" fillId="0" borderId="60" xfId="0" applyNumberFormat="1" applyFont="1" applyBorder="1" applyAlignment="1">
      <alignment vertical="center"/>
    </xf>
    <xf numFmtId="193" fontId="0" fillId="0" borderId="42" xfId="0" applyNumberFormat="1" applyFont="1" applyBorder="1" applyAlignment="1">
      <alignment vertical="center"/>
    </xf>
    <xf numFmtId="183" fontId="0" fillId="0" borderId="60" xfId="0" applyNumberFormat="1" applyFont="1" applyBorder="1" applyAlignment="1">
      <alignment vertical="center"/>
    </xf>
    <xf numFmtId="203" fontId="0" fillId="0" borderId="26" xfId="0" applyNumberFormat="1" applyFont="1" applyBorder="1" applyAlignment="1">
      <alignment vertical="center"/>
    </xf>
    <xf numFmtId="203" fontId="0" fillId="0" borderId="1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38" fontId="0" fillId="0" borderId="81" xfId="0" applyNumberFormat="1" applyFont="1" applyBorder="1" applyAlignment="1">
      <alignment vertical="center"/>
    </xf>
    <xf numFmtId="183" fontId="0" fillId="0" borderId="21" xfId="0" applyNumberFormat="1" applyFont="1" applyFill="1" applyBorder="1" applyAlignment="1">
      <alignment horizontal="right" vertical="center"/>
    </xf>
    <xf numFmtId="0" fontId="0" fillId="0" borderId="8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center" vertical="center"/>
    </xf>
    <xf numFmtId="179" fontId="0" fillId="0" borderId="83" xfId="0" applyNumberFormat="1" applyFont="1" applyBorder="1" applyAlignment="1">
      <alignment horizontal="center" vertical="center"/>
    </xf>
    <xf numFmtId="179" fontId="0" fillId="0" borderId="74" xfId="0" applyNumberFormat="1" applyFont="1" applyBorder="1" applyAlignment="1">
      <alignment horizontal="center" vertical="center"/>
    </xf>
    <xf numFmtId="179" fontId="0" fillId="0" borderId="76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76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8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9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50</xdr:row>
      <xdr:rowOff>9525</xdr:rowOff>
    </xdr:from>
    <xdr:to>
      <xdr:col>12</xdr:col>
      <xdr:colOff>314325</xdr:colOff>
      <xdr:row>50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8886825" y="10563225"/>
          <a:ext cx="1343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83" zoomScaleNormal="83" zoomScalePageLayoutView="0" workbookViewId="0" topLeftCell="A40">
      <selection activeCell="X48" sqref="X48"/>
    </sheetView>
  </sheetViews>
  <sheetFormatPr defaultColWidth="9.00390625" defaultRowHeight="13.5"/>
  <cols>
    <col min="1" max="1" width="4.50390625" style="8" customWidth="1"/>
    <col min="2" max="2" width="23.50390625" style="8" customWidth="1"/>
    <col min="3" max="3" width="5.75390625" style="8" customWidth="1"/>
    <col min="4" max="4" width="14.50390625" style="8" customWidth="1"/>
    <col min="5" max="5" width="5.625" style="8" customWidth="1"/>
    <col min="6" max="6" width="3.75390625" style="8" customWidth="1"/>
    <col min="7" max="7" width="23.875" style="8" customWidth="1"/>
    <col min="8" max="8" width="13.75390625" style="8" customWidth="1"/>
    <col min="9" max="9" width="4.625" style="8" customWidth="1"/>
    <col min="10" max="10" width="13.00390625" style="8" customWidth="1"/>
    <col min="11" max="11" width="3.625" style="8" customWidth="1"/>
    <col min="12" max="12" width="13.625" style="8" customWidth="1"/>
    <col min="13" max="13" width="4.25390625" style="8" customWidth="1"/>
    <col min="14" max="14" width="3.75390625" style="8" customWidth="1"/>
    <col min="15" max="15" width="3.25390625" style="8" customWidth="1"/>
    <col min="16" max="16" width="23.50390625" style="8" customWidth="1"/>
    <col min="17" max="17" width="13.875" style="8" customWidth="1"/>
    <col min="18" max="18" width="4.75390625" style="8" customWidth="1"/>
    <col min="19" max="19" width="12.625" style="8" customWidth="1"/>
    <col min="20" max="20" width="2.875" style="8" customWidth="1"/>
    <col min="21" max="21" width="14.125" style="8" customWidth="1"/>
    <col min="22" max="22" width="4.00390625" style="8" customWidth="1"/>
    <col min="23" max="24" width="9.00390625" style="8" customWidth="1"/>
    <col min="25" max="25" width="1.00390625" style="8" customWidth="1"/>
    <col min="26" max="26" width="10.50390625" style="8" customWidth="1"/>
    <col min="27" max="16384" width="9.00390625" style="8" customWidth="1"/>
  </cols>
  <sheetData>
    <row r="1" s="2" customFormat="1" ht="14.25" thickBot="1"/>
    <row r="2" spans="2:20" s="2" customFormat="1" ht="24.75" thickBot="1">
      <c r="B2" s="6" t="s">
        <v>152</v>
      </c>
      <c r="C2" s="1" t="s">
        <v>143</v>
      </c>
      <c r="P2" s="152" t="s">
        <v>155</v>
      </c>
      <c r="Q2" s="135">
        <v>14333</v>
      </c>
      <c r="R2" s="3" t="s">
        <v>144</v>
      </c>
      <c r="S2" s="4"/>
      <c r="T2" s="5"/>
    </row>
    <row r="3" s="2" customFormat="1" ht="16.5" customHeight="1"/>
    <row r="4" spans="2:15" ht="16.5" customHeight="1">
      <c r="B4" s="7" t="s">
        <v>29</v>
      </c>
      <c r="G4" s="7" t="s">
        <v>30</v>
      </c>
      <c r="O4" s="7" t="s">
        <v>31</v>
      </c>
    </row>
    <row r="5" ht="16.5" customHeight="1" thickBot="1"/>
    <row r="6" spans="2:22" ht="16.5" customHeight="1" thickBot="1">
      <c r="B6" s="9" t="s">
        <v>32</v>
      </c>
      <c r="C6" s="10"/>
      <c r="D6" s="185" t="s">
        <v>33</v>
      </c>
      <c r="E6" s="229"/>
      <c r="G6" s="9" t="s">
        <v>34</v>
      </c>
      <c r="H6" s="185" t="s">
        <v>33</v>
      </c>
      <c r="I6" s="186"/>
      <c r="J6" s="221" t="s">
        <v>35</v>
      </c>
      <c r="K6" s="222"/>
      <c r="L6" s="185" t="s">
        <v>36</v>
      </c>
      <c r="M6" s="206"/>
      <c r="O6" s="214" t="s">
        <v>34</v>
      </c>
      <c r="P6" s="215"/>
      <c r="Q6" s="205" t="s">
        <v>33</v>
      </c>
      <c r="R6" s="205"/>
      <c r="S6" s="205" t="s">
        <v>35</v>
      </c>
      <c r="T6" s="205"/>
      <c r="U6" s="205" t="s">
        <v>36</v>
      </c>
      <c r="V6" s="213"/>
    </row>
    <row r="7" spans="2:27" ht="16.5" customHeight="1">
      <c r="B7" s="13" t="s">
        <v>37</v>
      </c>
      <c r="C7" s="14" t="s">
        <v>3</v>
      </c>
      <c r="D7" s="125">
        <v>5876054</v>
      </c>
      <c r="E7" s="16" t="s">
        <v>38</v>
      </c>
      <c r="G7" s="13" t="s">
        <v>39</v>
      </c>
      <c r="H7" s="15">
        <v>1423533</v>
      </c>
      <c r="I7" s="17" t="s">
        <v>38</v>
      </c>
      <c r="J7" s="174">
        <f>ROUND(H7/H$31*100,1)</f>
        <v>24.2</v>
      </c>
      <c r="K7" s="17" t="s">
        <v>5</v>
      </c>
      <c r="L7" s="159">
        <f>ROUND(H7/$Q$2*1000,1)</f>
        <v>99318.6</v>
      </c>
      <c r="M7" s="20" t="s">
        <v>40</v>
      </c>
      <c r="O7" s="218" t="s">
        <v>41</v>
      </c>
      <c r="P7" s="219"/>
      <c r="Q7" s="121">
        <v>71942</v>
      </c>
      <c r="R7" s="17" t="s">
        <v>38</v>
      </c>
      <c r="S7" s="21">
        <f>ROUND(Q7/$Q$21*100,2)</f>
        <v>1.26</v>
      </c>
      <c r="T7" s="17" t="s">
        <v>5</v>
      </c>
      <c r="U7" s="19">
        <f>ROUND(Q7/$Q$2*1000,0)</f>
        <v>5019</v>
      </c>
      <c r="V7" s="20" t="s">
        <v>40</v>
      </c>
      <c r="X7" s="166"/>
      <c r="Y7" s="167"/>
      <c r="Z7" s="168"/>
      <c r="AA7" s="167"/>
    </row>
    <row r="8" spans="2:27" ht="16.5" customHeight="1">
      <c r="B8" s="22" t="s">
        <v>42</v>
      </c>
      <c r="C8" s="23" t="s">
        <v>6</v>
      </c>
      <c r="D8" s="122">
        <v>5705806</v>
      </c>
      <c r="E8" s="25" t="s">
        <v>38</v>
      </c>
      <c r="G8" s="22" t="s">
        <v>43</v>
      </c>
      <c r="H8" s="24">
        <v>76054</v>
      </c>
      <c r="I8" s="26" t="s">
        <v>38</v>
      </c>
      <c r="J8" s="174">
        <f aca="true" t="shared" si="0" ref="J8:J29">ROUND(H8/H$31*100,2)</f>
        <v>1.29</v>
      </c>
      <c r="K8" s="26" t="s">
        <v>5</v>
      </c>
      <c r="L8" s="19">
        <f aca="true" t="shared" si="1" ref="L8:L24">ROUND(H8/$Q$2*1000,0)</f>
        <v>5306</v>
      </c>
      <c r="M8" s="27" t="s">
        <v>40</v>
      </c>
      <c r="O8" s="207" t="s">
        <v>44</v>
      </c>
      <c r="P8" s="208"/>
      <c r="Q8" s="122">
        <v>859219</v>
      </c>
      <c r="R8" s="17" t="s">
        <v>38</v>
      </c>
      <c r="S8" s="21">
        <f aca="true" t="shared" si="2" ref="S8:S20">ROUND(Q8/$Q$21*100,2)</f>
        <v>15.06</v>
      </c>
      <c r="T8" s="17" t="s">
        <v>5</v>
      </c>
      <c r="U8" s="19">
        <f>ROUND(Q8/$Q$2*1000,0)</f>
        <v>59947</v>
      </c>
      <c r="V8" s="20" t="s">
        <v>40</v>
      </c>
      <c r="X8" s="169"/>
      <c r="Y8" s="167"/>
      <c r="Z8" s="168"/>
      <c r="AA8" s="167"/>
    </row>
    <row r="9" spans="2:27" ht="16.5" customHeight="1">
      <c r="B9" s="22" t="s">
        <v>45</v>
      </c>
      <c r="C9" s="23" t="s">
        <v>7</v>
      </c>
      <c r="D9" s="122">
        <f>SUM(D7-D8)</f>
        <v>170248</v>
      </c>
      <c r="E9" s="25" t="s">
        <v>38</v>
      </c>
      <c r="G9" s="22" t="s">
        <v>46</v>
      </c>
      <c r="H9" s="24">
        <v>2340</v>
      </c>
      <c r="I9" s="26" t="s">
        <v>38</v>
      </c>
      <c r="J9" s="174">
        <f t="shared" si="0"/>
        <v>0.04</v>
      </c>
      <c r="K9" s="26" t="s">
        <v>5</v>
      </c>
      <c r="L9" s="19">
        <f t="shared" si="1"/>
        <v>163</v>
      </c>
      <c r="M9" s="27" t="s">
        <v>40</v>
      </c>
      <c r="O9" s="207" t="s">
        <v>47</v>
      </c>
      <c r="P9" s="208"/>
      <c r="Q9" s="122">
        <v>2227609</v>
      </c>
      <c r="R9" s="17" t="s">
        <v>38</v>
      </c>
      <c r="S9" s="21">
        <f t="shared" si="2"/>
        <v>39.04</v>
      </c>
      <c r="T9" s="17" t="s">
        <v>5</v>
      </c>
      <c r="U9" s="19">
        <f aca="true" t="shared" si="3" ref="U9:U19">ROUND(Q9/$Q$2*1000,0)</f>
        <v>155418</v>
      </c>
      <c r="V9" s="20" t="s">
        <v>40</v>
      </c>
      <c r="X9" s="169"/>
      <c r="Y9" s="167"/>
      <c r="Z9" s="168"/>
      <c r="AA9" s="167"/>
    </row>
    <row r="10" spans="2:27" ht="16.5" customHeight="1">
      <c r="B10" s="22" t="s">
        <v>48</v>
      </c>
      <c r="C10" s="23" t="s">
        <v>8</v>
      </c>
      <c r="D10" s="122">
        <v>6883</v>
      </c>
      <c r="E10" s="25" t="s">
        <v>38</v>
      </c>
      <c r="G10" s="22" t="s">
        <v>18</v>
      </c>
      <c r="H10" s="24">
        <v>6055</v>
      </c>
      <c r="I10" s="26" t="s">
        <v>38</v>
      </c>
      <c r="J10" s="174">
        <f t="shared" si="0"/>
        <v>0.1</v>
      </c>
      <c r="K10" s="26" t="s">
        <v>5</v>
      </c>
      <c r="L10" s="19">
        <f t="shared" si="1"/>
        <v>422</v>
      </c>
      <c r="M10" s="27" t="s">
        <v>40</v>
      </c>
      <c r="O10" s="207" t="s">
        <v>49</v>
      </c>
      <c r="P10" s="208"/>
      <c r="Q10" s="122">
        <v>560012</v>
      </c>
      <c r="R10" s="17" t="s">
        <v>38</v>
      </c>
      <c r="S10" s="21">
        <f t="shared" si="2"/>
        <v>9.81</v>
      </c>
      <c r="T10" s="17" t="s">
        <v>5</v>
      </c>
      <c r="U10" s="19">
        <f t="shared" si="3"/>
        <v>39072</v>
      </c>
      <c r="V10" s="20" t="s">
        <v>40</v>
      </c>
      <c r="X10" s="169"/>
      <c r="Y10" s="167"/>
      <c r="Z10" s="168"/>
      <c r="AA10" s="167"/>
    </row>
    <row r="11" spans="2:27" ht="16.5" customHeight="1">
      <c r="B11" s="22" t="s">
        <v>50</v>
      </c>
      <c r="C11" s="23" t="s">
        <v>9</v>
      </c>
      <c r="D11" s="122">
        <f>SUM(D9-D10)</f>
        <v>163365</v>
      </c>
      <c r="E11" s="25" t="s">
        <v>38</v>
      </c>
      <c r="G11" s="22" t="s">
        <v>19</v>
      </c>
      <c r="H11" s="24">
        <v>6403</v>
      </c>
      <c r="I11" s="26" t="s">
        <v>38</v>
      </c>
      <c r="J11" s="174">
        <f t="shared" si="0"/>
        <v>0.11</v>
      </c>
      <c r="K11" s="26" t="s">
        <v>5</v>
      </c>
      <c r="L11" s="19">
        <f t="shared" si="1"/>
        <v>447</v>
      </c>
      <c r="M11" s="27" t="s">
        <v>40</v>
      </c>
      <c r="O11" s="207" t="s">
        <v>51</v>
      </c>
      <c r="P11" s="208"/>
      <c r="Q11" s="122">
        <v>0</v>
      </c>
      <c r="R11" s="17" t="s">
        <v>38</v>
      </c>
      <c r="S11" s="21">
        <f t="shared" si="2"/>
        <v>0</v>
      </c>
      <c r="T11" s="17" t="s">
        <v>5</v>
      </c>
      <c r="U11" s="19">
        <f t="shared" si="3"/>
        <v>0</v>
      </c>
      <c r="V11" s="20" t="s">
        <v>40</v>
      </c>
      <c r="X11" s="169"/>
      <c r="Y11" s="167"/>
      <c r="Z11" s="168"/>
      <c r="AA11" s="167"/>
    </row>
    <row r="12" spans="2:27" ht="16.5" customHeight="1">
      <c r="B12" s="22" t="s">
        <v>52</v>
      </c>
      <c r="C12" s="23" t="s">
        <v>10</v>
      </c>
      <c r="D12" s="126">
        <v>11941</v>
      </c>
      <c r="E12" s="25" t="s">
        <v>38</v>
      </c>
      <c r="G12" s="22" t="s">
        <v>53</v>
      </c>
      <c r="H12" s="24">
        <v>235228</v>
      </c>
      <c r="I12" s="26" t="s">
        <v>38</v>
      </c>
      <c r="J12" s="174">
        <f t="shared" si="0"/>
        <v>4</v>
      </c>
      <c r="K12" s="26" t="s">
        <v>5</v>
      </c>
      <c r="L12" s="19">
        <f t="shared" si="1"/>
        <v>16412</v>
      </c>
      <c r="M12" s="27" t="s">
        <v>40</v>
      </c>
      <c r="O12" s="207" t="s">
        <v>54</v>
      </c>
      <c r="P12" s="208"/>
      <c r="Q12" s="122">
        <v>484977</v>
      </c>
      <c r="R12" s="17" t="s">
        <v>38</v>
      </c>
      <c r="S12" s="21">
        <f t="shared" si="2"/>
        <v>8.5</v>
      </c>
      <c r="T12" s="17" t="s">
        <v>5</v>
      </c>
      <c r="U12" s="19">
        <f t="shared" si="3"/>
        <v>33836</v>
      </c>
      <c r="V12" s="20" t="s">
        <v>40</v>
      </c>
      <c r="X12" s="169"/>
      <c r="Y12" s="167"/>
      <c r="Z12" s="168"/>
      <c r="AA12" s="167"/>
    </row>
    <row r="13" spans="2:27" ht="16.5" customHeight="1">
      <c r="B13" s="22" t="s">
        <v>55</v>
      </c>
      <c r="C13" s="23" t="s">
        <v>11</v>
      </c>
      <c r="D13" s="122">
        <v>74000</v>
      </c>
      <c r="E13" s="25" t="s">
        <v>38</v>
      </c>
      <c r="G13" s="29" t="s">
        <v>56</v>
      </c>
      <c r="H13" s="30">
        <v>27893</v>
      </c>
      <c r="I13" s="26" t="s">
        <v>38</v>
      </c>
      <c r="J13" s="174">
        <f t="shared" si="0"/>
        <v>0.47</v>
      </c>
      <c r="K13" s="26" t="s">
        <v>5</v>
      </c>
      <c r="L13" s="160">
        <f t="shared" si="1"/>
        <v>1946</v>
      </c>
      <c r="M13" s="27" t="s">
        <v>40</v>
      </c>
      <c r="O13" s="207" t="s">
        <v>57</v>
      </c>
      <c r="P13" s="208"/>
      <c r="Q13" s="122">
        <v>107543</v>
      </c>
      <c r="R13" s="17" t="s">
        <v>38</v>
      </c>
      <c r="S13" s="21">
        <f t="shared" si="2"/>
        <v>1.88</v>
      </c>
      <c r="T13" s="17" t="s">
        <v>5</v>
      </c>
      <c r="U13" s="19">
        <f t="shared" si="3"/>
        <v>7503</v>
      </c>
      <c r="V13" s="20" t="s">
        <v>40</v>
      </c>
      <c r="X13" s="169"/>
      <c r="Y13" s="167"/>
      <c r="Z13" s="168"/>
      <c r="AA13" s="167"/>
    </row>
    <row r="14" spans="2:27" ht="16.5" customHeight="1">
      <c r="B14" s="22" t="s">
        <v>58</v>
      </c>
      <c r="C14" s="23" t="s">
        <v>12</v>
      </c>
      <c r="D14" s="122">
        <v>0</v>
      </c>
      <c r="E14" s="25" t="s">
        <v>38</v>
      </c>
      <c r="G14" s="22" t="s">
        <v>59</v>
      </c>
      <c r="H14" s="32">
        <v>9909</v>
      </c>
      <c r="I14" s="26" t="s">
        <v>38</v>
      </c>
      <c r="J14" s="174">
        <f t="shared" si="0"/>
        <v>0.17</v>
      </c>
      <c r="K14" s="26" t="s">
        <v>5</v>
      </c>
      <c r="L14" s="19">
        <f t="shared" si="1"/>
        <v>691</v>
      </c>
      <c r="M14" s="27" t="s">
        <v>40</v>
      </c>
      <c r="O14" s="207" t="s">
        <v>60</v>
      </c>
      <c r="P14" s="208"/>
      <c r="Q14" s="122">
        <v>206204</v>
      </c>
      <c r="R14" s="17" t="s">
        <v>38</v>
      </c>
      <c r="S14" s="21">
        <f t="shared" si="2"/>
        <v>3.61</v>
      </c>
      <c r="T14" s="17" t="s">
        <v>5</v>
      </c>
      <c r="U14" s="19">
        <f t="shared" si="3"/>
        <v>14387</v>
      </c>
      <c r="V14" s="20" t="s">
        <v>40</v>
      </c>
      <c r="X14" s="169"/>
      <c r="Y14" s="167"/>
      <c r="Z14" s="168"/>
      <c r="AA14" s="167"/>
    </row>
    <row r="15" spans="2:27" ht="16.5" customHeight="1">
      <c r="B15" s="22" t="s">
        <v>61</v>
      </c>
      <c r="C15" s="23" t="s">
        <v>13</v>
      </c>
      <c r="D15" s="122">
        <v>30000</v>
      </c>
      <c r="E15" s="25" t="s">
        <v>38</v>
      </c>
      <c r="G15" s="34" t="s">
        <v>62</v>
      </c>
      <c r="H15" s="35">
        <v>1446274</v>
      </c>
      <c r="I15" s="36" t="s">
        <v>38</v>
      </c>
      <c r="J15" s="175">
        <f t="shared" si="0"/>
        <v>24.61</v>
      </c>
      <c r="K15" s="36" t="s">
        <v>5</v>
      </c>
      <c r="L15" s="37">
        <f t="shared" si="1"/>
        <v>100905</v>
      </c>
      <c r="M15" s="38" t="s">
        <v>40</v>
      </c>
      <c r="O15" s="207" t="s">
        <v>63</v>
      </c>
      <c r="P15" s="208"/>
      <c r="Q15" s="122">
        <v>180564</v>
      </c>
      <c r="R15" s="17" t="s">
        <v>38</v>
      </c>
      <c r="S15" s="21">
        <f t="shared" si="2"/>
        <v>3.16</v>
      </c>
      <c r="T15" s="17" t="s">
        <v>5</v>
      </c>
      <c r="U15" s="19">
        <f t="shared" si="3"/>
        <v>12598</v>
      </c>
      <c r="V15" s="20" t="s">
        <v>40</v>
      </c>
      <c r="X15" s="169"/>
      <c r="Y15" s="167"/>
      <c r="Z15" s="168"/>
      <c r="AA15" s="167"/>
    </row>
    <row r="16" spans="2:27" ht="16.5" customHeight="1">
      <c r="B16" s="22" t="s">
        <v>64</v>
      </c>
      <c r="C16" s="23" t="s">
        <v>14</v>
      </c>
      <c r="D16" s="127">
        <f>SUM(D12+D13+D14-D15)</f>
        <v>55941</v>
      </c>
      <c r="E16" s="25" t="s">
        <v>38</v>
      </c>
      <c r="G16" s="39" t="s">
        <v>65</v>
      </c>
      <c r="H16" s="40">
        <v>1271643</v>
      </c>
      <c r="I16" s="41" t="s">
        <v>38</v>
      </c>
      <c r="J16" s="176">
        <f t="shared" si="0"/>
        <v>21.64</v>
      </c>
      <c r="K16" s="41" t="s">
        <v>5</v>
      </c>
      <c r="L16" s="42">
        <f t="shared" si="1"/>
        <v>88721</v>
      </c>
      <c r="M16" s="43" t="s">
        <v>40</v>
      </c>
      <c r="O16" s="207" t="s">
        <v>66</v>
      </c>
      <c r="P16" s="208"/>
      <c r="Q16" s="122">
        <v>556180</v>
      </c>
      <c r="R16" s="17" t="s">
        <v>38</v>
      </c>
      <c r="S16" s="21">
        <f t="shared" si="2"/>
        <v>9.75</v>
      </c>
      <c r="T16" s="17" t="s">
        <v>5</v>
      </c>
      <c r="U16" s="19">
        <f t="shared" si="3"/>
        <v>38804</v>
      </c>
      <c r="V16" s="20" t="s">
        <v>40</v>
      </c>
      <c r="X16" s="169"/>
      <c r="Y16" s="167"/>
      <c r="Z16" s="168"/>
      <c r="AA16" s="167"/>
    </row>
    <row r="17" spans="2:27" ht="16.5" customHeight="1" thickBot="1">
      <c r="B17" s="44" t="s">
        <v>67</v>
      </c>
      <c r="C17" s="45"/>
      <c r="D17" s="128">
        <f>ROUND(D11/D22*100,1)</f>
        <v>5.1</v>
      </c>
      <c r="E17" s="46" t="s">
        <v>15</v>
      </c>
      <c r="G17" s="39" t="s">
        <v>68</v>
      </c>
      <c r="H17" s="40">
        <v>174631</v>
      </c>
      <c r="I17" s="41" t="s">
        <v>38</v>
      </c>
      <c r="J17" s="176">
        <f t="shared" si="0"/>
        <v>2.97</v>
      </c>
      <c r="K17" s="41" t="s">
        <v>1</v>
      </c>
      <c r="L17" s="42">
        <f t="shared" si="1"/>
        <v>12184</v>
      </c>
      <c r="M17" s="43" t="s">
        <v>40</v>
      </c>
      <c r="O17" s="207" t="s">
        <v>69</v>
      </c>
      <c r="P17" s="208"/>
      <c r="Q17" s="122">
        <v>3349</v>
      </c>
      <c r="R17" s="17" t="s">
        <v>38</v>
      </c>
      <c r="S17" s="21">
        <f t="shared" si="2"/>
        <v>0.06</v>
      </c>
      <c r="T17" s="17" t="s">
        <v>5</v>
      </c>
      <c r="U17" s="19">
        <f t="shared" si="3"/>
        <v>234</v>
      </c>
      <c r="V17" s="20" t="s">
        <v>40</v>
      </c>
      <c r="X17" s="169"/>
      <c r="Y17" s="167"/>
      <c r="Z17" s="168"/>
      <c r="AA17" s="167"/>
    </row>
    <row r="18" spans="7:27" ht="16.5" customHeight="1">
      <c r="G18" s="156" t="s">
        <v>149</v>
      </c>
      <c r="H18" s="157">
        <v>0</v>
      </c>
      <c r="I18" s="100" t="s">
        <v>38</v>
      </c>
      <c r="J18" s="177">
        <f t="shared" si="0"/>
        <v>0</v>
      </c>
      <c r="K18" s="100" t="s">
        <v>5</v>
      </c>
      <c r="L18" s="99">
        <f t="shared" si="1"/>
        <v>0</v>
      </c>
      <c r="M18" s="158" t="s">
        <v>40</v>
      </c>
      <c r="O18" s="207" t="s">
        <v>71</v>
      </c>
      <c r="P18" s="208"/>
      <c r="Q18" s="122">
        <v>448207</v>
      </c>
      <c r="R18" s="17" t="s">
        <v>38</v>
      </c>
      <c r="S18" s="21">
        <f t="shared" si="2"/>
        <v>7.86</v>
      </c>
      <c r="T18" s="17" t="s">
        <v>5</v>
      </c>
      <c r="U18" s="19">
        <f t="shared" si="3"/>
        <v>31271</v>
      </c>
      <c r="V18" s="20" t="s">
        <v>40</v>
      </c>
      <c r="X18" s="169"/>
      <c r="Y18" s="167"/>
      <c r="Z18" s="168"/>
      <c r="AA18" s="167"/>
    </row>
    <row r="19" spans="7:27" ht="16.5" customHeight="1">
      <c r="G19" s="29" t="s">
        <v>70</v>
      </c>
      <c r="H19" s="30">
        <v>2525</v>
      </c>
      <c r="I19" s="26" t="s">
        <v>38</v>
      </c>
      <c r="J19" s="174">
        <f t="shared" si="0"/>
        <v>0.04</v>
      </c>
      <c r="K19" s="26" t="s">
        <v>5</v>
      </c>
      <c r="L19" s="159">
        <f t="shared" si="1"/>
        <v>176</v>
      </c>
      <c r="M19" s="27" t="s">
        <v>40</v>
      </c>
      <c r="O19" s="207" t="s">
        <v>73</v>
      </c>
      <c r="P19" s="208"/>
      <c r="Q19" s="122">
        <v>0</v>
      </c>
      <c r="R19" s="17" t="s">
        <v>38</v>
      </c>
      <c r="S19" s="21">
        <f t="shared" si="2"/>
        <v>0</v>
      </c>
      <c r="T19" s="17" t="s">
        <v>5</v>
      </c>
      <c r="U19" s="19">
        <f t="shared" si="3"/>
        <v>0</v>
      </c>
      <c r="V19" s="20" t="s">
        <v>40</v>
      </c>
      <c r="X19" s="169"/>
      <c r="Y19" s="167"/>
      <c r="Z19" s="168"/>
      <c r="AA19" s="167"/>
    </row>
    <row r="20" spans="2:27" ht="16.5" customHeight="1" thickBot="1">
      <c r="B20" s="7" t="s">
        <v>74</v>
      </c>
      <c r="G20" s="29" t="s">
        <v>72</v>
      </c>
      <c r="H20" s="30">
        <v>91073</v>
      </c>
      <c r="I20" s="26" t="s">
        <v>38</v>
      </c>
      <c r="J20" s="174">
        <f t="shared" si="0"/>
        <v>1.55</v>
      </c>
      <c r="K20" s="26" t="s">
        <v>5</v>
      </c>
      <c r="L20" s="159">
        <f t="shared" si="1"/>
        <v>6354</v>
      </c>
      <c r="M20" s="27" t="s">
        <v>40</v>
      </c>
      <c r="O20" s="211" t="s">
        <v>76</v>
      </c>
      <c r="P20" s="212"/>
      <c r="Q20" s="123">
        <v>0</v>
      </c>
      <c r="R20" s="48" t="s">
        <v>38</v>
      </c>
      <c r="S20" s="33">
        <f t="shared" si="2"/>
        <v>0</v>
      </c>
      <c r="T20" s="48" t="s">
        <v>5</v>
      </c>
      <c r="U20" s="49">
        <f>ROUND(Q20/$Q$2*1000,0)</f>
        <v>0</v>
      </c>
      <c r="V20" s="50" t="s">
        <v>40</v>
      </c>
      <c r="X20" s="169"/>
      <c r="Y20" s="167"/>
      <c r="Z20" s="168"/>
      <c r="AA20" s="167"/>
    </row>
    <row r="21" spans="7:27" ht="16.5" customHeight="1" thickBot="1" thickTop="1">
      <c r="G21" s="29" t="s">
        <v>75</v>
      </c>
      <c r="H21" s="30">
        <v>33036</v>
      </c>
      <c r="I21" s="26" t="s">
        <v>38</v>
      </c>
      <c r="J21" s="174">
        <v>0.6</v>
      </c>
      <c r="K21" s="26" t="s">
        <v>5</v>
      </c>
      <c r="L21" s="159">
        <f t="shared" si="1"/>
        <v>2305</v>
      </c>
      <c r="M21" s="27" t="s">
        <v>40</v>
      </c>
      <c r="O21" s="187" t="s">
        <v>78</v>
      </c>
      <c r="P21" s="188"/>
      <c r="Q21" s="124">
        <f>SUM(Q7:Q20)</f>
        <v>5705806</v>
      </c>
      <c r="R21" s="55" t="s">
        <v>38</v>
      </c>
      <c r="S21" s="56">
        <f>SUM(S7:S20)</f>
        <v>99.99</v>
      </c>
      <c r="T21" s="55" t="s">
        <v>5</v>
      </c>
      <c r="U21" s="57">
        <f>ROUND(Q21/$Q$2*1000,0)</f>
        <v>398089</v>
      </c>
      <c r="V21" s="58" t="s">
        <v>40</v>
      </c>
      <c r="X21" s="169"/>
      <c r="Y21" s="167"/>
      <c r="Z21" s="167"/>
      <c r="AA21" s="167"/>
    </row>
    <row r="22" spans="2:27" ht="16.5" customHeight="1">
      <c r="B22" s="225" t="s">
        <v>79</v>
      </c>
      <c r="C22" s="226"/>
      <c r="D22" s="129">
        <v>3205449</v>
      </c>
      <c r="E22" s="59" t="s">
        <v>38</v>
      </c>
      <c r="G22" s="22" t="s">
        <v>77</v>
      </c>
      <c r="H22" s="51">
        <v>37081</v>
      </c>
      <c r="I22" s="26" t="s">
        <v>38</v>
      </c>
      <c r="J22" s="174">
        <f t="shared" si="0"/>
        <v>0.63</v>
      </c>
      <c r="K22" s="26" t="s">
        <v>5</v>
      </c>
      <c r="L22" s="159">
        <f t="shared" si="1"/>
        <v>2587</v>
      </c>
      <c r="M22" s="27" t="s">
        <v>40</v>
      </c>
      <c r="X22" s="167"/>
      <c r="Y22" s="167"/>
      <c r="Z22" s="167"/>
      <c r="AA22" s="167"/>
    </row>
    <row r="23" spans="2:13" ht="16.5" customHeight="1">
      <c r="B23" s="227" t="s">
        <v>81</v>
      </c>
      <c r="C23" s="228"/>
      <c r="D23" s="130">
        <f>ROUND(Q21/D22,2)</f>
        <v>1.78</v>
      </c>
      <c r="E23" s="61"/>
      <c r="G23" s="29" t="s">
        <v>80</v>
      </c>
      <c r="H23" s="30">
        <v>783899</v>
      </c>
      <c r="I23" s="26" t="s">
        <v>38</v>
      </c>
      <c r="J23" s="174">
        <f t="shared" si="0"/>
        <v>13.34</v>
      </c>
      <c r="K23" s="26" t="s">
        <v>5</v>
      </c>
      <c r="L23" s="159">
        <f t="shared" si="1"/>
        <v>54692</v>
      </c>
      <c r="M23" s="27" t="s">
        <v>40</v>
      </c>
    </row>
    <row r="24" spans="2:15" ht="16.5" customHeight="1">
      <c r="B24" s="230" t="s">
        <v>84</v>
      </c>
      <c r="C24" s="231"/>
      <c r="D24" s="182">
        <v>86.2</v>
      </c>
      <c r="E24" s="64" t="s">
        <v>16</v>
      </c>
      <c r="G24" s="29" t="s">
        <v>83</v>
      </c>
      <c r="H24" s="30">
        <v>584483</v>
      </c>
      <c r="I24" s="26" t="s">
        <v>38</v>
      </c>
      <c r="J24" s="174">
        <f t="shared" si="0"/>
        <v>9.95</v>
      </c>
      <c r="K24" s="26" t="s">
        <v>5</v>
      </c>
      <c r="L24" s="159">
        <f t="shared" si="1"/>
        <v>40779</v>
      </c>
      <c r="M24" s="27" t="s">
        <v>40</v>
      </c>
      <c r="O24" s="7" t="s">
        <v>86</v>
      </c>
    </row>
    <row r="25" spans="2:13" ht="16.5" customHeight="1" thickBot="1">
      <c r="B25" s="216" t="s">
        <v>0</v>
      </c>
      <c r="C25" s="217"/>
      <c r="D25" s="131">
        <v>91.7</v>
      </c>
      <c r="E25" s="66" t="s">
        <v>17</v>
      </c>
      <c r="G25" s="29" t="s">
        <v>85</v>
      </c>
      <c r="H25" s="30">
        <v>39344</v>
      </c>
      <c r="I25" s="26" t="s">
        <v>38</v>
      </c>
      <c r="J25" s="174">
        <f t="shared" si="0"/>
        <v>0.67</v>
      </c>
      <c r="K25" s="26" t="s">
        <v>5</v>
      </c>
      <c r="L25" s="159">
        <f aca="true" t="shared" si="4" ref="L25:L31">ROUND(H25/$Q$2*1000,0)</f>
        <v>2745</v>
      </c>
      <c r="M25" s="27" t="s">
        <v>40</v>
      </c>
    </row>
    <row r="26" spans="2:22" ht="16.5" customHeight="1" thickBot="1">
      <c r="B26" s="223" t="s">
        <v>156</v>
      </c>
      <c r="C26" s="224"/>
      <c r="D26" s="153">
        <v>0.52</v>
      </c>
      <c r="E26" s="66"/>
      <c r="G26" s="29" t="s">
        <v>87</v>
      </c>
      <c r="H26" s="30">
        <v>115130</v>
      </c>
      <c r="I26" s="26" t="s">
        <v>38</v>
      </c>
      <c r="J26" s="174">
        <f t="shared" si="0"/>
        <v>1.96</v>
      </c>
      <c r="K26" s="26" t="s">
        <v>5</v>
      </c>
      <c r="L26" s="159">
        <f t="shared" si="4"/>
        <v>8033</v>
      </c>
      <c r="M26" s="27" t="s">
        <v>40</v>
      </c>
      <c r="O26" s="209" t="s">
        <v>34</v>
      </c>
      <c r="P26" s="210"/>
      <c r="Q26" s="205" t="s">
        <v>33</v>
      </c>
      <c r="R26" s="205"/>
      <c r="S26" s="205" t="s">
        <v>35</v>
      </c>
      <c r="T26" s="205"/>
      <c r="U26" s="205" t="s">
        <v>36</v>
      </c>
      <c r="V26" s="213"/>
    </row>
    <row r="27" spans="2:22" ht="16.5" customHeight="1">
      <c r="B27" s="227" t="s">
        <v>89</v>
      </c>
      <c r="C27" s="228"/>
      <c r="D27" s="122">
        <v>5172081</v>
      </c>
      <c r="E27" s="61" t="s">
        <v>38</v>
      </c>
      <c r="G27" s="29" t="s">
        <v>88</v>
      </c>
      <c r="H27" s="30">
        <v>191429</v>
      </c>
      <c r="I27" s="26" t="s">
        <v>38</v>
      </c>
      <c r="J27" s="174">
        <f t="shared" si="0"/>
        <v>3.26</v>
      </c>
      <c r="K27" s="26" t="s">
        <v>5</v>
      </c>
      <c r="L27" s="159">
        <f t="shared" si="4"/>
        <v>13356</v>
      </c>
      <c r="M27" s="27" t="s">
        <v>40</v>
      </c>
      <c r="O27" s="67" t="s">
        <v>91</v>
      </c>
      <c r="P27" s="68"/>
      <c r="Q27" s="15">
        <f>SUM(Q28,Q30,Q31)</f>
        <v>2655079</v>
      </c>
      <c r="R27" s="17" t="s">
        <v>38</v>
      </c>
      <c r="S27" s="70">
        <f>ROUND(Q27/$Q$51*100,2)</f>
        <v>46.53</v>
      </c>
      <c r="T27" s="17" t="s">
        <v>5</v>
      </c>
      <c r="U27" s="19">
        <f>ROUND(Q27/$Q$2*1000,0)</f>
        <v>185242</v>
      </c>
      <c r="V27" s="66" t="s">
        <v>40</v>
      </c>
    </row>
    <row r="28" spans="2:22" ht="16.5" customHeight="1">
      <c r="B28" s="227" t="s">
        <v>92</v>
      </c>
      <c r="C28" s="228"/>
      <c r="D28" s="130">
        <f>ROUND(D27/D22,2)</f>
        <v>1.61</v>
      </c>
      <c r="E28" s="61" t="s">
        <v>82</v>
      </c>
      <c r="G28" s="29" t="s">
        <v>90</v>
      </c>
      <c r="H28" s="30">
        <v>177572</v>
      </c>
      <c r="I28" s="26" t="s">
        <v>38</v>
      </c>
      <c r="J28" s="174">
        <f t="shared" si="0"/>
        <v>3.02</v>
      </c>
      <c r="K28" s="26" t="s">
        <v>5</v>
      </c>
      <c r="L28" s="159">
        <f t="shared" si="4"/>
        <v>12389</v>
      </c>
      <c r="M28" s="27" t="s">
        <v>40</v>
      </c>
      <c r="O28" s="67"/>
      <c r="P28" s="62" t="s">
        <v>94</v>
      </c>
      <c r="Q28" s="69">
        <v>889439</v>
      </c>
      <c r="R28" s="36" t="s">
        <v>38</v>
      </c>
      <c r="S28" s="70">
        <f>ROUND(Q28/$Q$51*100,2)</f>
        <v>15.59</v>
      </c>
      <c r="T28" s="36" t="s">
        <v>5</v>
      </c>
      <c r="U28" s="37">
        <f>ROUND(Q28/$Q$2*1000,0)</f>
        <v>62055</v>
      </c>
      <c r="V28" s="64" t="s">
        <v>40</v>
      </c>
    </row>
    <row r="29" spans="2:22" ht="16.5" customHeight="1">
      <c r="B29" s="230" t="s">
        <v>95</v>
      </c>
      <c r="C29" s="231"/>
      <c r="D29" s="170" t="s">
        <v>151</v>
      </c>
      <c r="E29" s="64" t="s">
        <v>1</v>
      </c>
      <c r="G29" s="22" t="s">
        <v>93</v>
      </c>
      <c r="H29" s="24">
        <v>156617</v>
      </c>
      <c r="I29" s="26" t="s">
        <v>38</v>
      </c>
      <c r="J29" s="174">
        <f t="shared" si="0"/>
        <v>2.67</v>
      </c>
      <c r="K29" s="26" t="s">
        <v>5</v>
      </c>
      <c r="L29" s="159">
        <f t="shared" si="4"/>
        <v>10927</v>
      </c>
      <c r="M29" s="27" t="s">
        <v>40</v>
      </c>
      <c r="O29" s="67"/>
      <c r="P29" s="68" t="s">
        <v>97</v>
      </c>
      <c r="Q29" s="74">
        <v>543195</v>
      </c>
      <c r="R29" s="17" t="s">
        <v>38</v>
      </c>
      <c r="S29" s="31">
        <f aca="true" t="shared" si="5" ref="S29:S50">ROUND(Q29/$Q$51*100,2)</f>
        <v>9.52</v>
      </c>
      <c r="T29" s="17" t="s">
        <v>5</v>
      </c>
      <c r="U29" s="19">
        <f aca="true" t="shared" si="6" ref="U29:U44">ROUND(Q29/$Q$2*1000,0)</f>
        <v>37898</v>
      </c>
      <c r="V29" s="66" t="s">
        <v>40</v>
      </c>
    </row>
    <row r="30" spans="2:22" ht="16.5" customHeight="1" thickBot="1">
      <c r="B30" s="232" t="s">
        <v>98</v>
      </c>
      <c r="C30" s="233"/>
      <c r="D30" s="171" t="s">
        <v>151</v>
      </c>
      <c r="E30" s="66" t="s">
        <v>2</v>
      </c>
      <c r="G30" s="71" t="s">
        <v>96</v>
      </c>
      <c r="H30" s="47">
        <v>430176</v>
      </c>
      <c r="I30" s="72" t="s">
        <v>38</v>
      </c>
      <c r="J30" s="174">
        <f>ROUND(H30/H$31*100,2)</f>
        <v>7.32</v>
      </c>
      <c r="K30" s="72" t="s">
        <v>5</v>
      </c>
      <c r="L30" s="49">
        <f t="shared" si="4"/>
        <v>30013</v>
      </c>
      <c r="M30" s="73" t="s">
        <v>40</v>
      </c>
      <c r="O30" s="67"/>
      <c r="P30" s="60" t="s">
        <v>100</v>
      </c>
      <c r="Q30" s="24">
        <v>1317433</v>
      </c>
      <c r="R30" s="26" t="s">
        <v>38</v>
      </c>
      <c r="S30" s="31">
        <f t="shared" si="5"/>
        <v>23.09</v>
      </c>
      <c r="T30" s="26" t="s">
        <v>5</v>
      </c>
      <c r="U30" s="19">
        <f t="shared" si="6"/>
        <v>91916</v>
      </c>
      <c r="V30" s="61" t="s">
        <v>40</v>
      </c>
    </row>
    <row r="31" spans="2:22" ht="16.5" customHeight="1" thickBot="1" thickTop="1">
      <c r="B31" s="227" t="s">
        <v>101</v>
      </c>
      <c r="C31" s="228"/>
      <c r="D31" s="172" t="s">
        <v>151</v>
      </c>
      <c r="E31" s="61" t="s">
        <v>4</v>
      </c>
      <c r="G31" s="75" t="s">
        <v>99</v>
      </c>
      <c r="H31" s="54">
        <f>SUM(H7:H15,H19:H30)</f>
        <v>5876054</v>
      </c>
      <c r="I31" s="55" t="s">
        <v>38</v>
      </c>
      <c r="J31" s="178">
        <f>SUM(J7:J15,J19:J30)</f>
        <v>100</v>
      </c>
      <c r="K31" s="55" t="s">
        <v>5</v>
      </c>
      <c r="L31" s="57">
        <f t="shared" si="4"/>
        <v>409967</v>
      </c>
      <c r="M31" s="58" t="s">
        <v>40</v>
      </c>
      <c r="O31" s="67"/>
      <c r="P31" s="78" t="s">
        <v>102</v>
      </c>
      <c r="Q31" s="47">
        <v>448207</v>
      </c>
      <c r="R31" s="72" t="s">
        <v>38</v>
      </c>
      <c r="S31" s="70">
        <f>ROUND(Q31/$Q$51*100,2)</f>
        <v>7.86</v>
      </c>
      <c r="T31" s="72" t="s">
        <v>5</v>
      </c>
      <c r="U31" s="49">
        <f t="shared" si="6"/>
        <v>31271</v>
      </c>
      <c r="V31" s="79" t="s">
        <v>40</v>
      </c>
    </row>
    <row r="32" spans="2:22" ht="16.5" customHeight="1">
      <c r="B32" s="234" t="s">
        <v>103</v>
      </c>
      <c r="C32" s="228"/>
      <c r="D32" s="184">
        <f>ROUND(Q18/H38*100,2)</f>
        <v>12.21</v>
      </c>
      <c r="E32" s="61" t="s">
        <v>1</v>
      </c>
      <c r="G32" s="7"/>
      <c r="O32" s="67"/>
      <c r="P32" s="82" t="s">
        <v>105</v>
      </c>
      <c r="Q32" s="83">
        <v>448204</v>
      </c>
      <c r="R32" s="41" t="s">
        <v>38</v>
      </c>
      <c r="S32" s="84">
        <f t="shared" si="5"/>
        <v>7.86</v>
      </c>
      <c r="T32" s="41" t="s">
        <v>5</v>
      </c>
      <c r="U32" s="42">
        <f t="shared" si="6"/>
        <v>31271</v>
      </c>
      <c r="V32" s="85" t="s">
        <v>40</v>
      </c>
    </row>
    <row r="33" spans="2:26" ht="16.5" customHeight="1">
      <c r="B33" s="223" t="s">
        <v>157</v>
      </c>
      <c r="C33" s="224"/>
      <c r="D33" s="132">
        <v>7.5</v>
      </c>
      <c r="E33" s="141" t="s">
        <v>1</v>
      </c>
      <c r="F33" s="136"/>
      <c r="G33" s="7" t="s">
        <v>104</v>
      </c>
      <c r="H33" s="81"/>
      <c r="I33" s="81"/>
      <c r="J33" s="81"/>
      <c r="K33" s="81"/>
      <c r="L33" s="81"/>
      <c r="M33" s="81"/>
      <c r="O33" s="13"/>
      <c r="P33" s="165" t="s">
        <v>150</v>
      </c>
      <c r="Q33" s="15">
        <f>Q31-Q32</f>
        <v>3</v>
      </c>
      <c r="R33" s="17" t="s">
        <v>38</v>
      </c>
      <c r="S33" s="179">
        <f>ROUND(Q33/$Q$51*100,2)</f>
        <v>0</v>
      </c>
      <c r="T33" s="17" t="s">
        <v>5</v>
      </c>
      <c r="U33" s="19">
        <f t="shared" si="6"/>
        <v>0</v>
      </c>
      <c r="V33" s="66" t="s">
        <v>40</v>
      </c>
      <c r="X33" s="81"/>
      <c r="Y33" s="81"/>
      <c r="Z33" s="81"/>
    </row>
    <row r="34" spans="2:22" ht="16.5" customHeight="1" thickBot="1">
      <c r="B34" s="235" t="s">
        <v>106</v>
      </c>
      <c r="C34" s="236"/>
      <c r="D34" s="133">
        <v>99.2</v>
      </c>
      <c r="E34" s="144" t="s">
        <v>1</v>
      </c>
      <c r="F34" s="136"/>
      <c r="G34" s="143"/>
      <c r="H34" s="220"/>
      <c r="I34" s="220"/>
      <c r="J34" s="220"/>
      <c r="K34" s="220"/>
      <c r="L34" s="220"/>
      <c r="M34" s="220"/>
      <c r="O34" s="71" t="s">
        <v>107</v>
      </c>
      <c r="P34" s="60"/>
      <c r="Q34" s="24">
        <f>SUM(Q35:Q37)</f>
        <v>1585737</v>
      </c>
      <c r="R34" s="26" t="s">
        <v>38</v>
      </c>
      <c r="S34" s="31">
        <f>ROUND(Q34/$Q$51*100,2)</f>
        <v>27.79</v>
      </c>
      <c r="T34" s="26" t="s">
        <v>5</v>
      </c>
      <c r="U34" s="19">
        <f>ROUND(Q34/$Q$2*1000,0)</f>
        <v>110635</v>
      </c>
      <c r="V34" s="61" t="s">
        <v>40</v>
      </c>
    </row>
    <row r="35" spans="2:22" ht="16.5" customHeight="1" thickBot="1">
      <c r="B35" s="136"/>
      <c r="C35" s="136"/>
      <c r="D35" s="136"/>
      <c r="E35" s="136"/>
      <c r="F35" s="136"/>
      <c r="G35" s="137" t="s">
        <v>34</v>
      </c>
      <c r="H35" s="185" t="s">
        <v>33</v>
      </c>
      <c r="I35" s="186"/>
      <c r="J35" s="185" t="s">
        <v>35</v>
      </c>
      <c r="K35" s="186"/>
      <c r="L35" s="185" t="s">
        <v>36</v>
      </c>
      <c r="M35" s="206"/>
      <c r="O35" s="67"/>
      <c r="P35" s="60" t="s">
        <v>109</v>
      </c>
      <c r="Q35" s="24">
        <v>933531</v>
      </c>
      <c r="R35" s="26" t="s">
        <v>38</v>
      </c>
      <c r="S35" s="31">
        <f t="shared" si="5"/>
        <v>16.36</v>
      </c>
      <c r="T35" s="26" t="s">
        <v>5</v>
      </c>
      <c r="U35" s="19">
        <f>ROUND(Q35/$Q$2*1000,0)</f>
        <v>65132</v>
      </c>
      <c r="V35" s="61" t="s">
        <v>40</v>
      </c>
    </row>
    <row r="36" spans="2:22" ht="16.5" customHeight="1">
      <c r="B36" s="7" t="s">
        <v>110</v>
      </c>
      <c r="C36" s="136"/>
      <c r="D36" s="136"/>
      <c r="E36" s="136"/>
      <c r="F36" s="136"/>
      <c r="G36" s="145" t="s">
        <v>108</v>
      </c>
      <c r="H36" s="86">
        <f>SUM(H7,H20:H22,H25:H29)</f>
        <v>2264815</v>
      </c>
      <c r="I36" s="87" t="s">
        <v>38</v>
      </c>
      <c r="J36" s="161">
        <f aca="true" t="shared" si="7" ref="J36:J41">ROUND(H36/$H$31*100,1)</f>
        <v>38.5</v>
      </c>
      <c r="K36" s="87" t="s">
        <v>5</v>
      </c>
      <c r="L36" s="88">
        <f aca="true" t="shared" si="8" ref="L36:L41">ROUND(H36/$Q$2*1000,0)</f>
        <v>158014</v>
      </c>
      <c r="M36" s="89" t="s">
        <v>40</v>
      </c>
      <c r="O36" s="67"/>
      <c r="P36" s="78" t="s">
        <v>112</v>
      </c>
      <c r="Q36" s="47">
        <v>17766</v>
      </c>
      <c r="R36" s="72" t="s">
        <v>38</v>
      </c>
      <c r="S36" s="31">
        <f t="shared" si="5"/>
        <v>0.31</v>
      </c>
      <c r="T36" s="72" t="s">
        <v>5</v>
      </c>
      <c r="U36" s="19">
        <f>ROUND(Q36/$Q$2*1000,0)</f>
        <v>1240</v>
      </c>
      <c r="V36" s="79" t="s">
        <v>40</v>
      </c>
    </row>
    <row r="37" spans="2:22" ht="16.5" customHeight="1" thickBot="1">
      <c r="B37" s="136"/>
      <c r="C37" s="136"/>
      <c r="D37" s="136"/>
      <c r="E37" s="136"/>
      <c r="F37" s="136"/>
      <c r="G37" s="146" t="s">
        <v>111</v>
      </c>
      <c r="H37" s="15">
        <f>SUM(H8:H15,H19,H23:H24,H30)</f>
        <v>3611239</v>
      </c>
      <c r="I37" s="17" t="s">
        <v>38</v>
      </c>
      <c r="J37" s="162">
        <f t="shared" si="7"/>
        <v>61.5</v>
      </c>
      <c r="K37" s="17" t="s">
        <v>5</v>
      </c>
      <c r="L37" s="19">
        <f t="shared" si="8"/>
        <v>251953</v>
      </c>
      <c r="M37" s="20" t="s">
        <v>40</v>
      </c>
      <c r="O37" s="67"/>
      <c r="P37" s="62" t="s">
        <v>114</v>
      </c>
      <c r="Q37" s="90">
        <v>634440</v>
      </c>
      <c r="R37" s="36" t="s">
        <v>38</v>
      </c>
      <c r="S37" s="70">
        <f t="shared" si="5"/>
        <v>11.12</v>
      </c>
      <c r="T37" s="36" t="s">
        <v>5</v>
      </c>
      <c r="U37" s="37">
        <f t="shared" si="6"/>
        <v>44264</v>
      </c>
      <c r="V37" s="64" t="s">
        <v>40</v>
      </c>
    </row>
    <row r="38" spans="2:22" ht="16.5" customHeight="1" thickBot="1">
      <c r="B38" s="197" t="s">
        <v>115</v>
      </c>
      <c r="C38" s="198"/>
      <c r="D38" s="199" t="s">
        <v>153</v>
      </c>
      <c r="E38" s="200"/>
      <c r="F38" s="136"/>
      <c r="G38" s="147" t="s">
        <v>113</v>
      </c>
      <c r="H38" s="69">
        <v>3670290</v>
      </c>
      <c r="I38" s="36" t="s">
        <v>38</v>
      </c>
      <c r="J38" s="63">
        <f t="shared" si="7"/>
        <v>62.5</v>
      </c>
      <c r="K38" s="36" t="s">
        <v>5</v>
      </c>
      <c r="L38" s="37">
        <f t="shared" si="8"/>
        <v>256073</v>
      </c>
      <c r="M38" s="38" t="s">
        <v>40</v>
      </c>
      <c r="O38" s="13"/>
      <c r="P38" s="91" t="s">
        <v>117</v>
      </c>
      <c r="Q38" s="125">
        <v>203877</v>
      </c>
      <c r="R38" s="17" t="s">
        <v>38</v>
      </c>
      <c r="S38" s="31">
        <f t="shared" si="5"/>
        <v>3.57</v>
      </c>
      <c r="T38" s="17" t="s">
        <v>5</v>
      </c>
      <c r="U38" s="99">
        <f t="shared" si="6"/>
        <v>14224</v>
      </c>
      <c r="V38" s="66" t="s">
        <v>40</v>
      </c>
    </row>
    <row r="39" spans="2:22" ht="16.5" customHeight="1">
      <c r="B39" s="148" t="s">
        <v>118</v>
      </c>
      <c r="C39" s="138"/>
      <c r="D39" s="125">
        <v>1882000</v>
      </c>
      <c r="E39" s="142" t="s">
        <v>38</v>
      </c>
      <c r="F39" s="136"/>
      <c r="G39" s="146" t="s">
        <v>116</v>
      </c>
      <c r="H39" s="15">
        <f>H31-H38</f>
        <v>2205764</v>
      </c>
      <c r="I39" s="17" t="s">
        <v>38</v>
      </c>
      <c r="J39" s="18">
        <f t="shared" si="7"/>
        <v>37.5</v>
      </c>
      <c r="K39" s="17" t="s">
        <v>5</v>
      </c>
      <c r="L39" s="19">
        <f t="shared" si="8"/>
        <v>153894</v>
      </c>
      <c r="M39" s="20" t="s">
        <v>40</v>
      </c>
      <c r="O39" s="71" t="s">
        <v>120</v>
      </c>
      <c r="P39" s="78"/>
      <c r="Q39" s="47">
        <f>Q41+Q45+Q46</f>
        <v>705538</v>
      </c>
      <c r="R39" s="72" t="s">
        <v>38</v>
      </c>
      <c r="S39" s="31">
        <f t="shared" si="5"/>
        <v>12.37</v>
      </c>
      <c r="T39" s="72" t="s">
        <v>5</v>
      </c>
      <c r="U39" s="19">
        <f t="shared" si="6"/>
        <v>49225</v>
      </c>
      <c r="V39" s="79" t="s">
        <v>40</v>
      </c>
    </row>
    <row r="40" spans="2:22" ht="16.5" customHeight="1">
      <c r="B40" s="149" t="s">
        <v>121</v>
      </c>
      <c r="C40" s="139"/>
      <c r="D40" s="122">
        <v>315000</v>
      </c>
      <c r="E40" s="141" t="s">
        <v>38</v>
      </c>
      <c r="F40" s="136"/>
      <c r="G40" s="147" t="s">
        <v>119</v>
      </c>
      <c r="H40" s="173">
        <v>4235062</v>
      </c>
      <c r="I40" s="36" t="s">
        <v>38</v>
      </c>
      <c r="J40" s="180">
        <f>ROUND(H40/$H$31*100,1)</f>
        <v>72.1</v>
      </c>
      <c r="K40" s="36" t="s">
        <v>5</v>
      </c>
      <c r="L40" s="37">
        <f t="shared" si="8"/>
        <v>295476</v>
      </c>
      <c r="M40" s="38" t="s">
        <v>40</v>
      </c>
      <c r="O40" s="67"/>
      <c r="P40" s="60" t="s">
        <v>123</v>
      </c>
      <c r="Q40" s="24">
        <v>22342</v>
      </c>
      <c r="R40" s="26" t="s">
        <v>38</v>
      </c>
      <c r="S40" s="31">
        <f t="shared" si="5"/>
        <v>0.39</v>
      </c>
      <c r="T40" s="26" t="s">
        <v>5</v>
      </c>
      <c r="U40" s="19">
        <f t="shared" si="6"/>
        <v>1559</v>
      </c>
      <c r="V40" s="61" t="s">
        <v>40</v>
      </c>
    </row>
    <row r="41" spans="2:22" ht="16.5" customHeight="1">
      <c r="B41" s="149" t="s">
        <v>124</v>
      </c>
      <c r="C41" s="139"/>
      <c r="D41" s="122">
        <v>1220440</v>
      </c>
      <c r="E41" s="141" t="s">
        <v>38</v>
      </c>
      <c r="F41" s="136"/>
      <c r="G41" s="146" t="s">
        <v>122</v>
      </c>
      <c r="H41" s="15">
        <f>H31-H40</f>
        <v>1640992</v>
      </c>
      <c r="I41" s="17" t="s">
        <v>38</v>
      </c>
      <c r="J41" s="181">
        <f t="shared" si="7"/>
        <v>27.9</v>
      </c>
      <c r="K41" s="17" t="s">
        <v>5</v>
      </c>
      <c r="L41" s="19">
        <f t="shared" si="8"/>
        <v>114490</v>
      </c>
      <c r="M41" s="20" t="s">
        <v>40</v>
      </c>
      <c r="O41" s="67"/>
      <c r="P41" s="78" t="s">
        <v>126</v>
      </c>
      <c r="Q41" s="47">
        <v>702189</v>
      </c>
      <c r="R41" s="72" t="s">
        <v>38</v>
      </c>
      <c r="S41" s="65">
        <f t="shared" si="5"/>
        <v>12.31</v>
      </c>
      <c r="T41" s="72" t="s">
        <v>5</v>
      </c>
      <c r="U41" s="49">
        <f t="shared" si="6"/>
        <v>48991</v>
      </c>
      <c r="V41" s="79" t="s">
        <v>40</v>
      </c>
    </row>
    <row r="42" spans="2:22" ht="16.5" customHeight="1" thickBot="1">
      <c r="B42" s="140" t="s">
        <v>127</v>
      </c>
      <c r="C42" s="150"/>
      <c r="D42" s="134">
        <v>272609</v>
      </c>
      <c r="E42" s="151" t="s">
        <v>38</v>
      </c>
      <c r="F42" s="136"/>
      <c r="G42" s="203" t="s">
        <v>125</v>
      </c>
      <c r="H42" s="189">
        <f>3085709/D22</f>
        <v>0.9626448588013723</v>
      </c>
      <c r="I42" s="190"/>
      <c r="J42" s="193" t="s">
        <v>20</v>
      </c>
      <c r="K42" s="193"/>
      <c r="L42" s="193"/>
      <c r="M42" s="194"/>
      <c r="O42" s="67"/>
      <c r="P42" s="82" t="s">
        <v>128</v>
      </c>
      <c r="Q42" s="83">
        <v>369005</v>
      </c>
      <c r="R42" s="41" t="s">
        <v>38</v>
      </c>
      <c r="S42" s="84">
        <f t="shared" si="5"/>
        <v>6.47</v>
      </c>
      <c r="T42" s="41" t="s">
        <v>5</v>
      </c>
      <c r="U42" s="42">
        <f t="shared" si="6"/>
        <v>25745</v>
      </c>
      <c r="V42" s="85" t="s">
        <v>40</v>
      </c>
    </row>
    <row r="43" spans="7:22" ht="16.5" customHeight="1" thickBot="1">
      <c r="G43" s="204"/>
      <c r="H43" s="191"/>
      <c r="I43" s="192"/>
      <c r="J43" s="195"/>
      <c r="K43" s="195"/>
      <c r="L43" s="195"/>
      <c r="M43" s="196"/>
      <c r="O43" s="67"/>
      <c r="P43" s="95" t="s">
        <v>129</v>
      </c>
      <c r="Q43" s="96">
        <v>295018</v>
      </c>
      <c r="R43" s="48" t="s">
        <v>38</v>
      </c>
      <c r="S43" s="84">
        <f t="shared" si="5"/>
        <v>5.17</v>
      </c>
      <c r="T43" s="48" t="s">
        <v>5</v>
      </c>
      <c r="U43" s="49">
        <f t="shared" si="6"/>
        <v>20583</v>
      </c>
      <c r="V43" s="97" t="s">
        <v>40</v>
      </c>
    </row>
    <row r="44" spans="15:22" ht="16.5" customHeight="1">
      <c r="O44" s="67"/>
      <c r="P44" s="98" t="s">
        <v>131</v>
      </c>
      <c r="Q44" s="99">
        <v>38166</v>
      </c>
      <c r="R44" s="100" t="s">
        <v>38</v>
      </c>
      <c r="S44" s="31">
        <f t="shared" si="5"/>
        <v>0.67</v>
      </c>
      <c r="T44" s="100" t="s">
        <v>5</v>
      </c>
      <c r="U44" s="99">
        <f t="shared" si="6"/>
        <v>2663</v>
      </c>
      <c r="V44" s="101" t="s">
        <v>40</v>
      </c>
    </row>
    <row r="45" spans="2:22" ht="16.5" customHeight="1">
      <c r="B45" s="7" t="s">
        <v>130</v>
      </c>
      <c r="G45" s="7" t="s">
        <v>21</v>
      </c>
      <c r="O45" s="67"/>
      <c r="P45" s="68" t="s">
        <v>132</v>
      </c>
      <c r="Q45" s="15">
        <v>3349</v>
      </c>
      <c r="R45" s="17" t="s">
        <v>38</v>
      </c>
      <c r="S45" s="31">
        <f t="shared" si="5"/>
        <v>0.06</v>
      </c>
      <c r="T45" s="17" t="s">
        <v>5</v>
      </c>
      <c r="U45" s="19">
        <f aca="true" t="shared" si="9" ref="U45:U51">ROUND(Q45/$Q$2*1000,0)</f>
        <v>234</v>
      </c>
      <c r="V45" s="66" t="s">
        <v>40</v>
      </c>
    </row>
    <row r="46" spans="5:22" ht="16.5" customHeight="1" thickBot="1">
      <c r="E46" s="155"/>
      <c r="F46" s="154"/>
      <c r="O46" s="13"/>
      <c r="P46" s="60" t="s">
        <v>134</v>
      </c>
      <c r="Q46" s="24">
        <v>0</v>
      </c>
      <c r="R46" s="26" t="s">
        <v>38</v>
      </c>
      <c r="S46" s="31">
        <f t="shared" si="5"/>
        <v>0</v>
      </c>
      <c r="T46" s="26" t="s">
        <v>5</v>
      </c>
      <c r="U46" s="19">
        <f t="shared" si="9"/>
        <v>0</v>
      </c>
      <c r="V46" s="61" t="s">
        <v>40</v>
      </c>
    </row>
    <row r="47" spans="2:22" ht="16.5" customHeight="1" thickBot="1">
      <c r="B47" s="12" t="s">
        <v>133</v>
      </c>
      <c r="C47" s="11"/>
      <c r="D47" s="201" t="s">
        <v>154</v>
      </c>
      <c r="E47" s="202"/>
      <c r="F47" s="81"/>
      <c r="G47" s="9" t="s">
        <v>28</v>
      </c>
      <c r="H47" s="185" t="s">
        <v>25</v>
      </c>
      <c r="I47" s="186"/>
      <c r="J47" s="205" t="s">
        <v>26</v>
      </c>
      <c r="K47" s="205"/>
      <c r="L47" s="185" t="s">
        <v>27</v>
      </c>
      <c r="M47" s="206"/>
      <c r="O47" s="22" t="s">
        <v>136</v>
      </c>
      <c r="P47" s="60"/>
      <c r="Q47" s="24">
        <v>473198</v>
      </c>
      <c r="R47" s="26" t="s">
        <v>38</v>
      </c>
      <c r="S47" s="31">
        <f t="shared" si="5"/>
        <v>8.29</v>
      </c>
      <c r="T47" s="26" t="s">
        <v>5</v>
      </c>
      <c r="U47" s="19">
        <f t="shared" si="9"/>
        <v>33015</v>
      </c>
      <c r="V47" s="61" t="s">
        <v>40</v>
      </c>
    </row>
    <row r="48" spans="2:22" ht="16.5" customHeight="1">
      <c r="B48" s="102" t="s">
        <v>135</v>
      </c>
      <c r="C48" s="103"/>
      <c r="D48" s="129">
        <v>0</v>
      </c>
      <c r="E48" s="104" t="s">
        <v>38</v>
      </c>
      <c r="F48" s="110"/>
      <c r="G48" s="105" t="s">
        <v>22</v>
      </c>
      <c r="H48" s="106" t="s">
        <v>145</v>
      </c>
      <c r="I48" s="107" t="s">
        <v>15</v>
      </c>
      <c r="J48" s="108">
        <v>15</v>
      </c>
      <c r="K48" s="103" t="s">
        <v>15</v>
      </c>
      <c r="L48" s="108">
        <v>20</v>
      </c>
      <c r="M48" s="109" t="s">
        <v>15</v>
      </c>
      <c r="O48" s="71" t="s">
        <v>138</v>
      </c>
      <c r="P48" s="60"/>
      <c r="Q48" s="24">
        <f>Q49+Q50</f>
        <v>286254</v>
      </c>
      <c r="R48" s="26" t="s">
        <v>38</v>
      </c>
      <c r="S48" s="31">
        <f t="shared" si="5"/>
        <v>5.02</v>
      </c>
      <c r="T48" s="26" t="s">
        <v>5</v>
      </c>
      <c r="U48" s="19">
        <f t="shared" si="9"/>
        <v>19972</v>
      </c>
      <c r="V48" s="61" t="s">
        <v>40</v>
      </c>
    </row>
    <row r="49" spans="2:22" ht="16.5" customHeight="1">
      <c r="B49" s="92" t="s">
        <v>137</v>
      </c>
      <c r="C49" s="26"/>
      <c r="D49" s="122">
        <v>0</v>
      </c>
      <c r="E49" s="27" t="s">
        <v>38</v>
      </c>
      <c r="F49" s="81"/>
      <c r="G49" s="111" t="s">
        <v>23</v>
      </c>
      <c r="H49" s="163" t="s">
        <v>145</v>
      </c>
      <c r="I49" s="28" t="s">
        <v>146</v>
      </c>
      <c r="J49" s="112">
        <v>20</v>
      </c>
      <c r="K49" s="26" t="s">
        <v>146</v>
      </c>
      <c r="L49" s="112">
        <v>30</v>
      </c>
      <c r="M49" s="61" t="s">
        <v>146</v>
      </c>
      <c r="O49" s="67"/>
      <c r="P49" s="60" t="s">
        <v>139</v>
      </c>
      <c r="Q49" s="24">
        <v>76000</v>
      </c>
      <c r="R49" s="26" t="s">
        <v>38</v>
      </c>
      <c r="S49" s="31">
        <f t="shared" si="5"/>
        <v>1.33</v>
      </c>
      <c r="T49" s="26" t="s">
        <v>5</v>
      </c>
      <c r="U49" s="19">
        <f t="shared" si="9"/>
        <v>5302</v>
      </c>
      <c r="V49" s="61" t="s">
        <v>40</v>
      </c>
    </row>
    <row r="50" spans="2:22" ht="16.5" customHeight="1" thickBot="1">
      <c r="B50" s="113" t="s">
        <v>138</v>
      </c>
      <c r="C50" s="114"/>
      <c r="D50" s="183">
        <v>315532</v>
      </c>
      <c r="E50" s="115" t="s">
        <v>38</v>
      </c>
      <c r="F50" s="110"/>
      <c r="G50" s="111" t="s">
        <v>148</v>
      </c>
      <c r="H50" s="80">
        <v>7.5</v>
      </c>
      <c r="I50" s="28" t="s">
        <v>15</v>
      </c>
      <c r="J50" s="77">
        <v>25</v>
      </c>
      <c r="K50" s="26" t="s">
        <v>15</v>
      </c>
      <c r="L50" s="77">
        <v>35</v>
      </c>
      <c r="M50" s="61" t="s">
        <v>15</v>
      </c>
      <c r="O50" s="67"/>
      <c r="P50" s="78" t="s">
        <v>141</v>
      </c>
      <c r="Q50" s="47">
        <v>210254</v>
      </c>
      <c r="R50" s="72" t="s">
        <v>38</v>
      </c>
      <c r="S50" s="31">
        <f t="shared" si="5"/>
        <v>3.68</v>
      </c>
      <c r="T50" s="72" t="s">
        <v>5</v>
      </c>
      <c r="U50" s="49">
        <f t="shared" si="9"/>
        <v>14669</v>
      </c>
      <c r="V50" s="79" t="s">
        <v>40</v>
      </c>
    </row>
    <row r="51" spans="2:22" ht="15" thickBot="1" thickTop="1">
      <c r="B51" s="52" t="s">
        <v>140</v>
      </c>
      <c r="C51" s="53"/>
      <c r="D51" s="124">
        <f>SUM(D47:D48:D50)</f>
        <v>315532</v>
      </c>
      <c r="E51" s="58" t="s">
        <v>38</v>
      </c>
      <c r="G51" s="116" t="s">
        <v>24</v>
      </c>
      <c r="H51" s="164" t="s">
        <v>145</v>
      </c>
      <c r="I51" s="45" t="s">
        <v>147</v>
      </c>
      <c r="J51" s="117">
        <v>350</v>
      </c>
      <c r="K51" s="93" t="s">
        <v>147</v>
      </c>
      <c r="L51" s="118"/>
      <c r="M51" s="94"/>
      <c r="O51" s="187" t="s">
        <v>142</v>
      </c>
      <c r="P51" s="188"/>
      <c r="Q51" s="54">
        <f>SUM(Q27,Q34,Q39,Q47:Q48)</f>
        <v>5705806</v>
      </c>
      <c r="R51" s="55" t="s">
        <v>38</v>
      </c>
      <c r="S51" s="76">
        <f>SUM(S27,S34,S39,S47:S48)</f>
        <v>99.99999999999999</v>
      </c>
      <c r="T51" s="55" t="s">
        <v>5</v>
      </c>
      <c r="U51" s="57">
        <f t="shared" si="9"/>
        <v>398089</v>
      </c>
      <c r="V51" s="119" t="s">
        <v>40</v>
      </c>
    </row>
    <row r="53" ht="14.25" thickBot="1"/>
    <row r="54" spans="1:25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</sheetData>
  <sheetProtection/>
  <mergeCells count="56">
    <mergeCell ref="B30:C30"/>
    <mergeCell ref="B31:C31"/>
    <mergeCell ref="B32:C32"/>
    <mergeCell ref="B33:C33"/>
    <mergeCell ref="H34:I34"/>
    <mergeCell ref="J34:K34"/>
    <mergeCell ref="B34:C34"/>
    <mergeCell ref="L34:M34"/>
    <mergeCell ref="J6:K6"/>
    <mergeCell ref="B26:C26"/>
    <mergeCell ref="B22:C22"/>
    <mergeCell ref="B23:C23"/>
    <mergeCell ref="D6:E6"/>
    <mergeCell ref="B24:C24"/>
    <mergeCell ref="B27:C27"/>
    <mergeCell ref="B28:C28"/>
    <mergeCell ref="B29:C29"/>
    <mergeCell ref="H6:I6"/>
    <mergeCell ref="B25:C25"/>
    <mergeCell ref="L6:M6"/>
    <mergeCell ref="O17:P17"/>
    <mergeCell ref="O14:P14"/>
    <mergeCell ref="O7:P7"/>
    <mergeCell ref="O8:P8"/>
    <mergeCell ref="O9:P9"/>
    <mergeCell ref="O10:P10"/>
    <mergeCell ref="O11:P11"/>
    <mergeCell ref="O21:P21"/>
    <mergeCell ref="U6:V6"/>
    <mergeCell ref="Q26:R26"/>
    <mergeCell ref="S26:T26"/>
    <mergeCell ref="U26:V26"/>
    <mergeCell ref="Q6:R6"/>
    <mergeCell ref="S6:T6"/>
    <mergeCell ref="O6:P6"/>
    <mergeCell ref="O15:P15"/>
    <mergeCell ref="J47:K47"/>
    <mergeCell ref="L47:M47"/>
    <mergeCell ref="O12:P12"/>
    <mergeCell ref="O13:P13"/>
    <mergeCell ref="O16:P16"/>
    <mergeCell ref="L35:M35"/>
    <mergeCell ref="O26:P26"/>
    <mergeCell ref="O18:P18"/>
    <mergeCell ref="O19:P19"/>
    <mergeCell ref="O20:P20"/>
    <mergeCell ref="J35:K35"/>
    <mergeCell ref="H35:I35"/>
    <mergeCell ref="O51:P51"/>
    <mergeCell ref="H42:I43"/>
    <mergeCell ref="J42:M43"/>
    <mergeCell ref="B38:C38"/>
    <mergeCell ref="D38:E38"/>
    <mergeCell ref="D47:E47"/>
    <mergeCell ref="G42:G43"/>
    <mergeCell ref="H47:I47"/>
  </mergeCells>
  <printOptions horizontalCentered="1"/>
  <pageMargins left="0.3937007874015748" right="0.1968503937007874" top="0.5905511811023623" bottom="0.1968503937007874" header="0.5118110236220472" footer="0.21"/>
  <pageSetup horizontalDpi="600" verticalDpi="600" orientation="landscape" paperSize="9" scale="67" r:id="rId4"/>
  <headerFooter alignWithMargins="0">
    <oddHeader>&amp;R&amp;D</oddHeader>
    <oddFooter>&amp;R&amp;8&amp;Z&amp;F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</dc:creator>
  <cp:keywords/>
  <dc:description/>
  <cp:lastModifiedBy> </cp:lastModifiedBy>
  <cp:lastPrinted>2015-11-06T07:23:03Z</cp:lastPrinted>
  <dcterms:created xsi:type="dcterms:W3CDTF">1998-07-30T05:48:22Z</dcterms:created>
  <dcterms:modified xsi:type="dcterms:W3CDTF">2019-02-08T06:53:12Z</dcterms:modified>
  <cp:category/>
  <cp:version/>
  <cp:contentType/>
  <cp:contentStatus/>
</cp:coreProperties>
</file>